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ylandt/Documents/AC_Reference Manual/"/>
    </mc:Choice>
  </mc:AlternateContent>
  <xr:revisionPtr revIDLastSave="0" documentId="8_{36B8AB0B-6318-C14A-B2EA-16D67A7545D7}" xr6:coauthVersionLast="36" xr6:coauthVersionMax="36" xr10:uidLastSave="{00000000-0000-0000-0000-000000000000}"/>
  <bookViews>
    <workbookView xWindow="0" yWindow="460" windowWidth="27960" windowHeight="23280" xr2:uid="{00000000-000D-0000-FFFF-FFFF00000000}"/>
  </bookViews>
  <sheets>
    <sheet name="Summary" sheetId="4" r:id="rId1"/>
    <sheet name="References" sheetId="5" r:id="rId2"/>
    <sheet name="Instruction" sheetId="6" r:id="rId3"/>
    <sheet name="Sheet1" sheetId="1" state="hidden" r:id="rId4"/>
    <sheet name="Index" sheetId="2" state="hidden" r:id="rId5"/>
    <sheet name="Sheet3" sheetId="3" state="hidden" r:id="rId6"/>
  </sheets>
  <calcPr calcId="162913"/>
</workbook>
</file>

<file path=xl/calcChain.xml><?xml version="1.0" encoding="utf-8"?>
<calcChain xmlns="http://schemas.openxmlformats.org/spreadsheetml/2006/main">
  <c r="D22" i="4" l="1"/>
  <c r="D29" i="4" l="1"/>
  <c r="D16" i="4"/>
  <c r="D30" i="4" l="1"/>
  <c r="D27" i="4"/>
  <c r="D47" i="4" s="1"/>
  <c r="D46" i="4"/>
  <c r="D18" i="4"/>
  <c r="D21" i="4" s="1"/>
  <c r="D23" i="4" s="1"/>
  <c r="D24" i="4" s="1"/>
  <c r="D25" i="4" s="1"/>
  <c r="D42" i="4" s="1"/>
  <c r="D28" i="4" l="1"/>
  <c r="D31" i="4" s="1"/>
  <c r="C12" i="1"/>
  <c r="C33" i="1" s="1"/>
  <c r="D12" i="1"/>
  <c r="C19" i="1"/>
  <c r="C6" i="1"/>
  <c r="D51" i="4" l="1"/>
  <c r="D43" i="4"/>
  <c r="D50" i="4"/>
  <c r="D54" i="4" s="1"/>
  <c r="D53" i="4"/>
  <c r="C20" i="1"/>
  <c r="D55" i="4" l="1"/>
  <c r="D17" i="1"/>
  <c r="D34" i="1" s="1"/>
  <c r="D20" i="1"/>
  <c r="D6" i="1"/>
  <c r="D8" i="1" s="1"/>
  <c r="D11" i="1" s="1"/>
  <c r="D13" i="1" s="1"/>
  <c r="D33" i="1"/>
  <c r="C8" i="1"/>
  <c r="C11" i="1" s="1"/>
  <c r="C13" i="1" s="1"/>
  <c r="C17" i="1"/>
  <c r="C34" i="1" s="1"/>
  <c r="C18" i="1" l="1"/>
  <c r="C21" i="1" s="1"/>
  <c r="C38" i="1" s="1"/>
  <c r="C14" i="1"/>
  <c r="D18" i="1"/>
  <c r="D14" i="1"/>
  <c r="D15" i="1" s="1"/>
  <c r="D37" i="1" s="1"/>
  <c r="C15" i="1" l="1"/>
  <c r="C40" i="1" s="1"/>
  <c r="D41" i="1"/>
  <c r="D40" i="1"/>
  <c r="D21" i="1"/>
  <c r="D38" i="1" s="1"/>
  <c r="C37" i="1"/>
  <c r="C41" i="1" s="1"/>
  <c r="C42" i="1" l="1"/>
  <c r="D42" i="1"/>
</calcChain>
</file>

<file path=xl/sharedStrings.xml><?xml version="1.0" encoding="utf-8"?>
<sst xmlns="http://schemas.openxmlformats.org/spreadsheetml/2006/main" count="151" uniqueCount="88">
  <si>
    <t>Fraction of Weight and BSA Corresponding to Amputated Limbs</t>
  </si>
  <si>
    <t>Body Part Amputated</t>
  </si>
  <si>
    <t>Foot</t>
  </si>
  <si>
    <t>Leg below knee</t>
  </si>
  <si>
    <t>Leg above knee</t>
  </si>
  <si>
    <t>Leg at hip</t>
  </si>
  <si>
    <t>Hand</t>
  </si>
  <si>
    <t>Arm at elbow</t>
  </si>
  <si>
    <t>Arm at shoulder</t>
  </si>
  <si>
    <t>% Loss in Weight</t>
  </si>
  <si>
    <t>% of BSA to Subtract</t>
  </si>
  <si>
    <t>Hypothetical nonamputated weight</t>
  </si>
  <si>
    <t>Enter fraction of weight lost</t>
  </si>
  <si>
    <t>Example for Leg below knee</t>
  </si>
  <si>
    <t>Hypothetical nonamputated V</t>
  </si>
  <si>
    <t>Hypothetical nonamputated BSA</t>
  </si>
  <si>
    <t>BSA (DuBois formula)</t>
  </si>
  <si>
    <t>Enter fraction of BSA for amputation</t>
  </si>
  <si>
    <t>Weekly Dialysate Kt/V</t>
  </si>
  <si>
    <t>Weekly Dialysate CrCl</t>
  </si>
  <si>
    <t>Uncorrected Measures</t>
  </si>
  <si>
    <t>Corrected Measures</t>
  </si>
  <si>
    <t>Female Example</t>
  </si>
  <si>
    <t>Male Example</t>
  </si>
  <si>
    <t>Actual Height (cm)</t>
  </si>
  <si>
    <t>Actual Dry Weight (kg)</t>
  </si>
  <si>
    <t>BSA (DuBois formula): Wt in kg and Ht in cm</t>
  </si>
  <si>
    <t>Weekly Residual Kt/V</t>
  </si>
  <si>
    <t>Weekly Total Kt/V</t>
  </si>
  <si>
    <t>Serum BUN (mg/dL)</t>
  </si>
  <si>
    <t>Serum Creatinine (mg/dL)</t>
  </si>
  <si>
    <t>Dialysate Urea (mg/dL)</t>
  </si>
  <si>
    <t>Dialysate  Corr Creatinine (mg/dL)</t>
  </si>
  <si>
    <t>Drain Volume (mL)</t>
  </si>
  <si>
    <t>Urine Urea Nitrogen (mg/dL)</t>
  </si>
  <si>
    <t>Urine Volume (mL)</t>
  </si>
  <si>
    <t>Collection Time (min)</t>
  </si>
  <si>
    <r>
      <t>[Males]:</t>
    </r>
    <r>
      <rPr>
        <sz val="11"/>
        <color rgb="FF000000"/>
        <rFont val="Arial"/>
        <family val="2"/>
      </rPr>
      <t xml:space="preserve"> TBW=(0.194786 × height) + (0.296785 × weight) -14.012934</t>
    </r>
  </si>
  <si>
    <r>
      <t>[Females]:</t>
    </r>
    <r>
      <rPr>
        <sz val="11"/>
        <color rgb="FF000000"/>
        <rFont val="Arial"/>
        <family val="2"/>
      </rPr>
      <t xml:space="preserve"> TBW=(0.34454 × height)+(0.183809 × weight) -35.270121</t>
    </r>
  </si>
  <si>
    <r>
      <t>BSA (m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 = 0.007184*Wt</t>
    </r>
    <r>
      <rPr>
        <vertAlign val="superscript"/>
        <sz val="11"/>
        <rFont val="Arial"/>
        <family val="2"/>
      </rPr>
      <t>0.425</t>
    </r>
    <r>
      <rPr>
        <sz val="11"/>
        <rFont val="Arial"/>
        <family val="2"/>
      </rPr>
      <t>*Ht</t>
    </r>
    <r>
      <rPr>
        <vertAlign val="superscript"/>
        <sz val="11"/>
        <rFont val="Arial"/>
        <family val="2"/>
      </rPr>
      <t>0.725</t>
    </r>
  </si>
  <si>
    <t>Actual V (L)</t>
  </si>
  <si>
    <r>
      <t>Corrected BSA (m</t>
    </r>
    <r>
      <rPr>
        <b/>
        <sz val="11"/>
        <rFont val="Calibri"/>
        <family val="2"/>
      </rPr>
      <t>²)</t>
    </r>
  </si>
  <si>
    <t>Total Body Water Content</t>
  </si>
  <si>
    <t>V of Body Surface Area (Hume formula)</t>
  </si>
  <si>
    <t>The Hume-Weyer formula is:</t>
  </si>
  <si>
    <t>Body Parts</t>
  </si>
  <si>
    <t>Genders</t>
  </si>
  <si>
    <t>Male</t>
  </si>
  <si>
    <t>Female</t>
  </si>
  <si>
    <t>Select Gender</t>
  </si>
  <si>
    <t>Select Amputation</t>
  </si>
  <si>
    <r>
      <t>[Males]:</t>
    </r>
    <r>
      <rPr>
        <sz val="10"/>
        <color rgb="FF000000"/>
        <rFont val="Arial"/>
        <family val="2"/>
      </rPr>
      <t xml:space="preserve"> TBW=(0.194786 × height) + (0.296785 × weight) -14.012934</t>
    </r>
  </si>
  <si>
    <r>
      <t>[Females]:</t>
    </r>
    <r>
      <rPr>
        <sz val="10"/>
        <color rgb="FF000000"/>
        <rFont val="Arial"/>
        <family val="2"/>
      </rPr>
      <t xml:space="preserve"> TBW=(0.34454 × height)+(0.183809 × weight) -35.270121</t>
    </r>
  </si>
  <si>
    <r>
      <t>BSA 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= 0.007184*Wt</t>
    </r>
    <r>
      <rPr>
        <vertAlign val="superscript"/>
        <sz val="10"/>
        <rFont val="Arial"/>
        <family val="2"/>
      </rPr>
      <t>0.425</t>
    </r>
    <r>
      <rPr>
        <sz val="10"/>
        <rFont val="Arial"/>
        <family val="2"/>
      </rPr>
      <t>*Ht</t>
    </r>
    <r>
      <rPr>
        <vertAlign val="superscript"/>
        <sz val="10"/>
        <rFont val="Arial"/>
        <family val="2"/>
      </rPr>
      <t>0.725</t>
    </r>
  </si>
  <si>
    <t>Select 1st Amputation</t>
  </si>
  <si>
    <t>Select 2nd Amputation</t>
  </si>
  <si>
    <t>None</t>
  </si>
  <si>
    <t>Sum % Weight Loss</t>
  </si>
  <si>
    <t>Patient Name:</t>
  </si>
  <si>
    <t>Corrected V (L)</t>
  </si>
  <si>
    <t>Patient MRN:</t>
  </si>
  <si>
    <t>Corrected Measures for Amputees - PD Adequacy</t>
  </si>
  <si>
    <t>Select/Enter Items in Yellow:</t>
  </si>
  <si>
    <t>Collection Date:</t>
  </si>
  <si>
    <t>*If no urine sample provided, enter 0</t>
  </si>
  <si>
    <t>Urine Collection Time in mins* (to convert, multiply hours by 60)</t>
  </si>
  <si>
    <t>Urine Volume*</t>
  </si>
  <si>
    <t>Urine Urea Nitrogen*</t>
  </si>
  <si>
    <t>Drain Volume</t>
  </si>
  <si>
    <t>Dialysate Corrected Creatinine</t>
  </si>
  <si>
    <t>Dialysate Urea</t>
  </si>
  <si>
    <t>Blood Creatinine</t>
  </si>
  <si>
    <t>Blood BUN</t>
  </si>
  <si>
    <t>4) Enter laboratory values</t>
  </si>
  <si>
    <t>Height in cm (to convert, multiply inches to 2.54)</t>
  </si>
  <si>
    <t>Weight in kg (to convert, multiply pounds to 2.205)</t>
  </si>
  <si>
    <t>3) Enter patient demographics</t>
  </si>
  <si>
    <t>If double amputee, select another body part</t>
  </si>
  <si>
    <t>Male or Female</t>
  </si>
  <si>
    <t>2) Select from the drop down list</t>
  </si>
  <si>
    <t>Collection Date</t>
  </si>
  <si>
    <t>Patient MRN</t>
  </si>
  <si>
    <t>Patient Full Name</t>
  </si>
  <si>
    <t>1) Fill in the required fields in yellow</t>
  </si>
  <si>
    <t>Instructions:</t>
  </si>
  <si>
    <t>Blood BUN (mg/dL)</t>
  </si>
  <si>
    <t>Blood Creatinine (mg/dL)</t>
  </si>
  <si>
    <t>Dialysate Corrected Creatinine (mg/dL)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</si>
</sst>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vertAlign val="superscript"/>
      <sz val="11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3" fillId="0" borderId="0" xfId="0" applyNumberFormat="1" applyFont="1"/>
    <xf numFmtId="164" fontId="3" fillId="2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Fill="1" applyAlignment="1">
      <alignment horizontal="center"/>
    </xf>
    <xf numFmtId="1" fontId="3" fillId="3" borderId="0" xfId="0" applyNumberFormat="1" applyFont="1" applyFill="1" applyAlignment="1" applyProtection="1">
      <alignment horizontal="center"/>
      <protection locked="0"/>
    </xf>
    <xf numFmtId="2" fontId="3" fillId="3" borderId="0" xfId="0" applyNumberFormat="1" applyFont="1" applyFill="1" applyAlignment="1" applyProtection="1">
      <alignment horizontal="center"/>
      <protection locked="0"/>
    </xf>
    <xf numFmtId="164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1" fontId="3" fillId="0" borderId="0" xfId="0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1" applyFont="1"/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indent="2"/>
    </xf>
    <xf numFmtId="14" fontId="3" fillId="3" borderId="3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1</xdr:col>
      <xdr:colOff>1666875</xdr:colOff>
      <xdr:row>3</xdr:row>
      <xdr:rowOff>38100</xdr:rowOff>
    </xdr:to>
    <xdr:pic>
      <xdr:nvPicPr>
        <xdr:cNvPr id="2" name="Picture 1" descr="Ascend Clinic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15716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55"/>
  <sheetViews>
    <sheetView showGridLines="0" showRowColHeaders="0" tabSelected="1" workbookViewId="0">
      <selection activeCell="B36" sqref="B36:C36"/>
    </sheetView>
  </sheetViews>
  <sheetFormatPr baseColWidth="10" defaultColWidth="9.1640625" defaultRowHeight="14" x14ac:dyDescent="0.15"/>
  <cols>
    <col min="1" max="1" width="9.1640625" style="1"/>
    <col min="2" max="2" width="37.83203125" style="1" customWidth="1"/>
    <col min="3" max="3" width="7.1640625" style="1" customWidth="1"/>
    <col min="4" max="4" width="18.83203125" style="6" customWidth="1"/>
    <col min="5" max="16384" width="9.1640625" style="1"/>
  </cols>
  <sheetData>
    <row r="1" spans="2:4" ht="14.25" customHeight="1" x14ac:dyDescent="0.15">
      <c r="B1"/>
      <c r="C1"/>
    </row>
    <row r="3" spans="2:4" ht="5.25" customHeight="1" x14ac:dyDescent="0.15"/>
    <row r="4" spans="2:4" ht="15" customHeight="1" x14ac:dyDescent="0.15">
      <c r="B4" s="26" t="s">
        <v>61</v>
      </c>
      <c r="C4" s="26"/>
    </row>
    <row r="5" spans="2:4" ht="15" customHeight="1" x14ac:dyDescent="0.15">
      <c r="B5" s="26"/>
      <c r="C5" s="26"/>
    </row>
    <row r="6" spans="2:4" ht="15" customHeight="1" x14ac:dyDescent="0.15">
      <c r="B6" s="42" t="s">
        <v>58</v>
      </c>
      <c r="C6" s="45"/>
      <c r="D6" s="45"/>
    </row>
    <row r="7" spans="2:4" ht="15" customHeight="1" x14ac:dyDescent="0.15">
      <c r="B7" s="42" t="s">
        <v>60</v>
      </c>
      <c r="C7" s="46"/>
      <c r="D7" s="46"/>
    </row>
    <row r="8" spans="2:4" ht="15" customHeight="1" x14ac:dyDescent="0.15">
      <c r="B8" s="42" t="s">
        <v>63</v>
      </c>
      <c r="C8" s="50"/>
      <c r="D8" s="46"/>
    </row>
    <row r="9" spans="2:4" ht="5.25" customHeight="1" x14ac:dyDescent="0.15"/>
    <row r="10" spans="2:4" ht="14.25" customHeight="1" x14ac:dyDescent="0.15">
      <c r="B10" s="43" t="s">
        <v>62</v>
      </c>
      <c r="C10" s="39"/>
    </row>
    <row r="11" spans="2:4" ht="4.5" customHeight="1" x14ac:dyDescent="0.15">
      <c r="B11" s="25"/>
      <c r="C11" s="25"/>
      <c r="D11" s="14"/>
    </row>
    <row r="12" spans="2:4" x14ac:dyDescent="0.15">
      <c r="B12" s="48" t="s">
        <v>49</v>
      </c>
      <c r="C12" s="48"/>
      <c r="D12" s="32" t="s">
        <v>47</v>
      </c>
    </row>
    <row r="13" spans="2:4" x14ac:dyDescent="0.15">
      <c r="B13" s="48" t="s">
        <v>54</v>
      </c>
      <c r="C13" s="48"/>
      <c r="D13" s="32" t="s">
        <v>5</v>
      </c>
    </row>
    <row r="14" spans="2:4" x14ac:dyDescent="0.15">
      <c r="B14" s="48" t="s">
        <v>55</v>
      </c>
      <c r="C14" s="48"/>
      <c r="D14" s="32" t="s">
        <v>56</v>
      </c>
    </row>
    <row r="15" spans="2:4" x14ac:dyDescent="0.15">
      <c r="B15" s="25"/>
      <c r="C15" s="25"/>
      <c r="D15" s="14"/>
    </row>
    <row r="16" spans="2:4" ht="14.25" hidden="1" customHeight="1" x14ac:dyDescent="0.15">
      <c r="B16" s="48" t="s">
        <v>57</v>
      </c>
      <c r="C16" s="48"/>
      <c r="D16" s="24">
        <f>VLOOKUP(D13,Index!$A$2:$C$9,2,FALSE)+VLOOKUP(D14,Index!$A$2:$C$9,2,FALSE)</f>
        <v>18.5</v>
      </c>
    </row>
    <row r="17" spans="2:4" ht="14.25" hidden="1" customHeight="1" x14ac:dyDescent="0.15">
      <c r="B17" s="25"/>
      <c r="C17" s="25"/>
    </row>
    <row r="18" spans="2:4" ht="14.25" hidden="1" customHeight="1" x14ac:dyDescent="0.15">
      <c r="B18" s="48" t="s">
        <v>12</v>
      </c>
      <c r="C18" s="48"/>
      <c r="D18" s="6">
        <f>D16/100</f>
        <v>0.185</v>
      </c>
    </row>
    <row r="19" spans="2:4" ht="14.25" customHeight="1" x14ac:dyDescent="0.15">
      <c r="B19" s="48" t="s">
        <v>25</v>
      </c>
      <c r="C19" s="48"/>
      <c r="D19" s="31">
        <v>84.9</v>
      </c>
    </row>
    <row r="20" spans="2:4" ht="14.25" customHeight="1" x14ac:dyDescent="0.15">
      <c r="B20" s="48" t="s">
        <v>24</v>
      </c>
      <c r="C20" s="48"/>
      <c r="D20" s="31">
        <v>175</v>
      </c>
    </row>
    <row r="21" spans="2:4" ht="14.25" hidden="1" customHeight="1" x14ac:dyDescent="0.15">
      <c r="B21" s="48" t="s">
        <v>11</v>
      </c>
      <c r="C21" s="48"/>
      <c r="D21" s="7">
        <f>D19/(1-D18)</f>
        <v>104.17177914110431</v>
      </c>
    </row>
    <row r="22" spans="2:4" ht="14.25" hidden="1" customHeight="1" x14ac:dyDescent="0.15">
      <c r="B22" s="48" t="s">
        <v>43</v>
      </c>
      <c r="C22" s="48"/>
      <c r="D22" s="7">
        <f>IF(D12="Male",(-14.012934+0.296785*D19+0.194786*D20),(-35.270121+0.183809*D19+0.34454*D20))</f>
        <v>45.271662500000005</v>
      </c>
    </row>
    <row r="23" spans="2:4" ht="14.25" hidden="1" customHeight="1" x14ac:dyDescent="0.15">
      <c r="B23" s="48" t="s">
        <v>14</v>
      </c>
      <c r="C23" s="48"/>
      <c r="D23" s="7">
        <f>IF(D12="Male",(-14.012934+0.296785*D21+0.194786*D20),(-35.270121+0.183809*D21+0.34454*D20))</f>
        <v>50.991237472392648</v>
      </c>
    </row>
    <row r="24" spans="2:4" ht="14.25" hidden="1" customHeight="1" x14ac:dyDescent="0.15">
      <c r="B24" s="48" t="s">
        <v>42</v>
      </c>
      <c r="C24" s="48"/>
      <c r="D24" s="8">
        <f>D23/D21</f>
        <v>0.48949185559481745</v>
      </c>
    </row>
    <row r="25" spans="2:4" hidden="1" x14ac:dyDescent="0.15">
      <c r="B25" s="47" t="s">
        <v>40</v>
      </c>
      <c r="C25" s="47"/>
      <c r="D25" s="10">
        <f>D19*D24</f>
        <v>41.557858540000005</v>
      </c>
    </row>
    <row r="26" spans="2:4" ht="14.25" hidden="1" customHeight="1" x14ac:dyDescent="0.15">
      <c r="B26" s="25"/>
      <c r="C26" s="25"/>
    </row>
    <row r="27" spans="2:4" ht="14.25" hidden="1" customHeight="1" x14ac:dyDescent="0.15">
      <c r="B27" s="48" t="s">
        <v>16</v>
      </c>
      <c r="C27" s="48"/>
      <c r="D27" s="8">
        <f>0.007184*(D19^0.425)*(D20^0.725)</f>
        <v>2.0061096975635131</v>
      </c>
    </row>
    <row r="28" spans="2:4" ht="14.25" hidden="1" customHeight="1" x14ac:dyDescent="0.15">
      <c r="B28" s="48" t="s">
        <v>15</v>
      </c>
      <c r="C28" s="48"/>
      <c r="D28" s="8">
        <f>0.007184*(D21^0.425)*(D20^0.725)</f>
        <v>2.1883293924233027</v>
      </c>
    </row>
    <row r="29" spans="2:4" ht="14.25" hidden="1" customHeight="1" x14ac:dyDescent="0.15">
      <c r="B29" s="48" t="s">
        <v>10</v>
      </c>
      <c r="C29" s="48"/>
      <c r="D29" s="24">
        <f>VLOOKUP(D13,Index!$A$2:$C$9,3,FALSE)+VLOOKUP(D14,Index!$A$2:$C$9,3,FALSE)</f>
        <v>18</v>
      </c>
    </row>
    <row r="30" spans="2:4" ht="14.25" hidden="1" customHeight="1" x14ac:dyDescent="0.15">
      <c r="B30" s="48" t="s">
        <v>17</v>
      </c>
      <c r="C30" s="48"/>
      <c r="D30" s="8">
        <f>D29/100</f>
        <v>0.18</v>
      </c>
    </row>
    <row r="31" spans="2:4" ht="15" hidden="1" x14ac:dyDescent="0.2">
      <c r="B31" s="47" t="s">
        <v>41</v>
      </c>
      <c r="C31" s="47"/>
      <c r="D31" s="11">
        <f>D28*(1-D30)</f>
        <v>1.7944301017871083</v>
      </c>
    </row>
    <row r="32" spans="2:4" x14ac:dyDescent="0.15">
      <c r="B32" s="26"/>
      <c r="C32" s="26"/>
      <c r="D32" s="11"/>
    </row>
    <row r="33" spans="2:4" ht="14.25" customHeight="1" x14ac:dyDescent="0.15">
      <c r="B33" s="48" t="s">
        <v>85</v>
      </c>
      <c r="C33" s="48"/>
      <c r="D33" s="28">
        <v>36</v>
      </c>
    </row>
    <row r="34" spans="2:4" ht="14.25" customHeight="1" x14ac:dyDescent="0.15">
      <c r="B34" s="48" t="s">
        <v>86</v>
      </c>
      <c r="C34" s="48"/>
      <c r="D34" s="29">
        <v>7.87</v>
      </c>
    </row>
    <row r="35" spans="2:4" ht="14.25" customHeight="1" x14ac:dyDescent="0.15">
      <c r="B35" s="48" t="s">
        <v>31</v>
      </c>
      <c r="C35" s="48"/>
      <c r="D35" s="28">
        <v>32</v>
      </c>
    </row>
    <row r="36" spans="2:4" ht="14.25" customHeight="1" x14ac:dyDescent="0.15">
      <c r="B36" s="48" t="s">
        <v>87</v>
      </c>
      <c r="C36" s="48"/>
      <c r="D36" s="30">
        <v>5.3</v>
      </c>
    </row>
    <row r="37" spans="2:4" ht="14.25" customHeight="1" x14ac:dyDescent="0.15">
      <c r="B37" s="48" t="s">
        <v>33</v>
      </c>
      <c r="C37" s="48"/>
      <c r="D37" s="28">
        <v>12264</v>
      </c>
    </row>
    <row r="38" spans="2:4" ht="14.25" customHeight="1" x14ac:dyDescent="0.15">
      <c r="B38" s="48" t="s">
        <v>34</v>
      </c>
      <c r="C38" s="48"/>
      <c r="D38" s="30">
        <v>300</v>
      </c>
    </row>
    <row r="39" spans="2:4" ht="14.25" customHeight="1" x14ac:dyDescent="0.15">
      <c r="B39" s="48" t="s">
        <v>35</v>
      </c>
      <c r="C39" s="48"/>
      <c r="D39" s="28">
        <v>250</v>
      </c>
    </row>
    <row r="40" spans="2:4" ht="14.25" customHeight="1" x14ac:dyDescent="0.15">
      <c r="B40" s="48" t="s">
        <v>36</v>
      </c>
      <c r="C40" s="48"/>
      <c r="D40" s="28">
        <v>1440</v>
      </c>
    </row>
    <row r="41" spans="2:4" ht="14.25" customHeight="1" x14ac:dyDescent="0.15">
      <c r="B41" s="25"/>
      <c r="C41" s="25"/>
      <c r="D41" s="38"/>
    </row>
    <row r="42" spans="2:4" ht="15" customHeight="1" x14ac:dyDescent="0.15">
      <c r="B42" s="47" t="s">
        <v>59</v>
      </c>
      <c r="C42" s="47"/>
      <c r="D42" s="7">
        <f>D25</f>
        <v>41.557858540000005</v>
      </c>
    </row>
    <row r="43" spans="2:4" ht="15" customHeight="1" x14ac:dyDescent="0.2">
      <c r="B43" s="47" t="s">
        <v>41</v>
      </c>
      <c r="C43" s="47"/>
      <c r="D43" s="8">
        <f>D31</f>
        <v>1.7944301017871083</v>
      </c>
    </row>
    <row r="44" spans="2:4" ht="14.25" customHeight="1" x14ac:dyDescent="0.15">
      <c r="B44" s="25"/>
      <c r="C44" s="25"/>
    </row>
    <row r="45" spans="2:4" ht="15" customHeight="1" x14ac:dyDescent="0.15">
      <c r="B45" s="47" t="s">
        <v>20</v>
      </c>
      <c r="C45" s="47"/>
    </row>
    <row r="46" spans="2:4" ht="14.25" customHeight="1" x14ac:dyDescent="0.15">
      <c r="B46" s="49" t="s">
        <v>18</v>
      </c>
      <c r="C46" s="49"/>
      <c r="D46" s="8">
        <f>D35/D33*D37/1000*7/D22</f>
        <v>1.6855871668802382</v>
      </c>
    </row>
    <row r="47" spans="2:4" ht="14.25" customHeight="1" x14ac:dyDescent="0.15">
      <c r="B47" s="49" t="s">
        <v>19</v>
      </c>
      <c r="C47" s="49"/>
      <c r="D47" s="7">
        <f>D36/D34*D37/1000*7*1.73/D27</f>
        <v>49.856609954141817</v>
      </c>
    </row>
    <row r="48" spans="2:4" ht="14.25" customHeight="1" x14ac:dyDescent="0.15">
      <c r="B48" s="25"/>
      <c r="C48" s="25"/>
    </row>
    <row r="49" spans="2:4" ht="15" customHeight="1" x14ac:dyDescent="0.15">
      <c r="B49" s="47" t="s">
        <v>21</v>
      </c>
      <c r="C49" s="47"/>
    </row>
    <row r="50" spans="2:4" ht="14.25" customHeight="1" x14ac:dyDescent="0.15">
      <c r="B50" s="49" t="s">
        <v>18</v>
      </c>
      <c r="C50" s="49"/>
      <c r="D50" s="8">
        <f>D35/D33*D37/1000*7/D25</f>
        <v>1.8362190934329436</v>
      </c>
    </row>
    <row r="51" spans="2:4" ht="14.25" customHeight="1" x14ac:dyDescent="0.15">
      <c r="B51" s="49" t="s">
        <v>19</v>
      </c>
      <c r="C51" s="49"/>
      <c r="D51" s="7">
        <f>D36/D34*D37/1000*7*1.73/D31</f>
        <v>55.737935190139623</v>
      </c>
    </row>
    <row r="52" spans="2:4" ht="14.25" customHeight="1" x14ac:dyDescent="0.15">
      <c r="B52" s="25"/>
      <c r="C52" s="25"/>
    </row>
    <row r="53" spans="2:4" ht="15" customHeight="1" x14ac:dyDescent="0.15">
      <c r="B53" s="47" t="s">
        <v>27</v>
      </c>
      <c r="C53" s="47"/>
      <c r="D53" s="27">
        <f>((D38/D33)*(D39/D40)*10.08)/D25</f>
        <v>0.35091638129757519</v>
      </c>
    </row>
    <row r="54" spans="2:4" ht="15" customHeight="1" x14ac:dyDescent="0.15">
      <c r="B54" s="47" t="s">
        <v>18</v>
      </c>
      <c r="C54" s="47"/>
      <c r="D54" s="8">
        <f>D50</f>
        <v>1.8362190934329436</v>
      </c>
    </row>
    <row r="55" spans="2:4" ht="15" customHeight="1" x14ac:dyDescent="0.15">
      <c r="B55" s="47" t="s">
        <v>28</v>
      </c>
      <c r="C55" s="47"/>
      <c r="D55" s="8">
        <f>D53+D54</f>
        <v>2.1871354747305189</v>
      </c>
    </row>
  </sheetData>
  <sheetProtection selectLockedCells="1"/>
  <mergeCells count="39">
    <mergeCell ref="B23:C23"/>
    <mergeCell ref="B22:C22"/>
    <mergeCell ref="C8:D8"/>
    <mergeCell ref="B12:C12"/>
    <mergeCell ref="B13:C13"/>
    <mergeCell ref="B14:C14"/>
    <mergeCell ref="B16:C16"/>
    <mergeCell ref="B18:C18"/>
    <mergeCell ref="B21:C21"/>
    <mergeCell ref="B20:C20"/>
    <mergeCell ref="B49:C49"/>
    <mergeCell ref="B47:C47"/>
    <mergeCell ref="B46:C46"/>
    <mergeCell ref="B27:C27"/>
    <mergeCell ref="B31:C31"/>
    <mergeCell ref="B30:C30"/>
    <mergeCell ref="B29:C29"/>
    <mergeCell ref="B28:C28"/>
    <mergeCell ref="B55:C55"/>
    <mergeCell ref="B54:C54"/>
    <mergeCell ref="B53:C53"/>
    <mergeCell ref="B51:C51"/>
    <mergeCell ref="B50:C50"/>
    <mergeCell ref="C6:D6"/>
    <mergeCell ref="C7:D7"/>
    <mergeCell ref="B42:C42"/>
    <mergeCell ref="B43:C43"/>
    <mergeCell ref="B45:C45"/>
    <mergeCell ref="B33:C33"/>
    <mergeCell ref="B40:C40"/>
    <mergeCell ref="B39:C39"/>
    <mergeCell ref="B38:C38"/>
    <mergeCell ref="B37:C37"/>
    <mergeCell ref="B36:C36"/>
    <mergeCell ref="B35:C35"/>
    <mergeCell ref="B34:C34"/>
    <mergeCell ref="B25:C25"/>
    <mergeCell ref="B19:C19"/>
    <mergeCell ref="B24:C24"/>
  </mergeCells>
  <pageMargins left="0.5" right="0.5" top="1" bottom="1" header="0.5" footer="0.5"/>
  <pageSetup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Index!$F$2:$F$3</xm:f>
          </x14:formula1>
          <xm:sqref>D12</xm:sqref>
        </x14:dataValidation>
        <x14:dataValidation type="list" allowBlank="1" showInputMessage="1" showErrorMessage="1" xr:uid="{00000000-0002-0000-0000-000001000000}">
          <x14:formula1>
            <xm:f>Index!$A$2:$A$9</xm:f>
          </x14:formula1>
          <xm:sqref>D13:D14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17"/>
  <sheetViews>
    <sheetView showGridLines="0" showRowColHeaders="0" workbookViewId="0">
      <selection activeCell="G38" sqref="G38"/>
    </sheetView>
  </sheetViews>
  <sheetFormatPr baseColWidth="10" defaultColWidth="8.83203125" defaultRowHeight="13" x14ac:dyDescent="0.15"/>
  <cols>
    <col min="2" max="2" width="60.1640625" bestFit="1" customWidth="1"/>
    <col min="3" max="3" width="17.5" bestFit="1" customWidth="1"/>
    <col min="4" max="4" width="20.83203125" bestFit="1" customWidth="1"/>
  </cols>
  <sheetData>
    <row r="1" spans="2:4" ht="14" x14ac:dyDescent="0.15">
      <c r="B1" s="51" t="s">
        <v>0</v>
      </c>
      <c r="C1" s="51"/>
      <c r="D1" s="51"/>
    </row>
    <row r="2" spans="2:4" ht="14" x14ac:dyDescent="0.15">
      <c r="B2" s="33"/>
      <c r="C2" s="33"/>
      <c r="D2" s="33"/>
    </row>
    <row r="3" spans="2:4" ht="14" x14ac:dyDescent="0.15">
      <c r="B3" s="3" t="s">
        <v>1</v>
      </c>
      <c r="C3" s="4" t="s">
        <v>9</v>
      </c>
      <c r="D3" s="4" t="s">
        <v>10</v>
      </c>
    </row>
    <row r="4" spans="2:4" ht="14" x14ac:dyDescent="0.15">
      <c r="B4" s="5" t="s">
        <v>2</v>
      </c>
      <c r="C4" s="4">
        <v>1.8</v>
      </c>
      <c r="D4" s="4">
        <v>3.5</v>
      </c>
    </row>
    <row r="5" spans="2:4" ht="14" x14ac:dyDescent="0.15">
      <c r="B5" s="5" t="s">
        <v>3</v>
      </c>
      <c r="C5" s="4">
        <v>6.5</v>
      </c>
      <c r="D5" s="4">
        <v>10</v>
      </c>
    </row>
    <row r="6" spans="2:4" ht="14" x14ac:dyDescent="0.15">
      <c r="B6" s="5" t="s">
        <v>4</v>
      </c>
      <c r="C6" s="4">
        <v>8</v>
      </c>
      <c r="D6" s="4">
        <v>12.5</v>
      </c>
    </row>
    <row r="7" spans="2:4" ht="14" x14ac:dyDescent="0.15">
      <c r="B7" s="5" t="s">
        <v>5</v>
      </c>
      <c r="C7" s="4">
        <v>18.5</v>
      </c>
      <c r="D7" s="4">
        <v>18</v>
      </c>
    </row>
    <row r="8" spans="2:4" ht="14" x14ac:dyDescent="0.15">
      <c r="B8" s="5" t="s">
        <v>6</v>
      </c>
      <c r="C8" s="4">
        <v>0.8</v>
      </c>
      <c r="D8" s="4">
        <v>2.5</v>
      </c>
    </row>
    <row r="9" spans="2:4" ht="14" x14ac:dyDescent="0.15">
      <c r="B9" s="5" t="s">
        <v>7</v>
      </c>
      <c r="C9" s="4">
        <v>3.1</v>
      </c>
      <c r="D9" s="4">
        <v>6</v>
      </c>
    </row>
    <row r="10" spans="2:4" ht="14" x14ac:dyDescent="0.15">
      <c r="B10" s="5" t="s">
        <v>8</v>
      </c>
      <c r="C10" s="4">
        <v>6.6</v>
      </c>
      <c r="D10" s="4">
        <v>10</v>
      </c>
    </row>
    <row r="11" spans="2:4" ht="14" x14ac:dyDescent="0.15">
      <c r="B11" s="1"/>
      <c r="C11" s="6"/>
      <c r="D11" s="1"/>
    </row>
    <row r="12" spans="2:4" ht="14" x14ac:dyDescent="0.15">
      <c r="B12" s="34" t="s">
        <v>44</v>
      </c>
      <c r="C12" s="1"/>
      <c r="D12" s="1"/>
    </row>
    <row r="13" spans="2:4" ht="14" x14ac:dyDescent="0.15">
      <c r="B13" s="35" t="s">
        <v>51</v>
      </c>
      <c r="C13" s="1"/>
      <c r="D13" s="1"/>
    </row>
    <row r="14" spans="2:4" ht="14" x14ac:dyDescent="0.15">
      <c r="B14" s="35" t="s">
        <v>52</v>
      </c>
      <c r="C14" s="1"/>
      <c r="D14" s="1"/>
    </row>
    <row r="15" spans="2:4" ht="14" x14ac:dyDescent="0.15">
      <c r="B15" s="35"/>
      <c r="C15" s="1"/>
      <c r="D15" s="1"/>
    </row>
    <row r="16" spans="2:4" x14ac:dyDescent="0.15">
      <c r="B16" s="36" t="s">
        <v>26</v>
      </c>
      <c r="C16" s="36"/>
      <c r="D16" s="36"/>
    </row>
    <row r="17" spans="2:4" ht="15" x14ac:dyDescent="0.15">
      <c r="B17" s="36" t="s">
        <v>53</v>
      </c>
      <c r="C17" s="37"/>
      <c r="D17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workbookViewId="0">
      <selection activeCell="G31" sqref="G31"/>
    </sheetView>
  </sheetViews>
  <sheetFormatPr baseColWidth="10" defaultColWidth="9.1640625" defaultRowHeight="15" x14ac:dyDescent="0.2"/>
  <cols>
    <col min="1" max="1" width="12.5" style="44" customWidth="1"/>
    <col min="2" max="2" width="59.5" style="44" bestFit="1" customWidth="1"/>
    <col min="3" max="16384" width="9.1640625" style="44"/>
  </cols>
  <sheetData>
    <row r="1" spans="1:2" x14ac:dyDescent="0.2">
      <c r="A1" s="44" t="s">
        <v>84</v>
      </c>
    </row>
    <row r="3" spans="1:2" x14ac:dyDescent="0.2">
      <c r="A3" s="44" t="s">
        <v>83</v>
      </c>
    </row>
    <row r="4" spans="1:2" x14ac:dyDescent="0.2">
      <c r="B4" s="44" t="s">
        <v>82</v>
      </c>
    </row>
    <row r="5" spans="1:2" x14ac:dyDescent="0.2">
      <c r="B5" s="44" t="s">
        <v>81</v>
      </c>
    </row>
    <row r="6" spans="1:2" x14ac:dyDescent="0.2">
      <c r="B6" s="44" t="s">
        <v>80</v>
      </c>
    </row>
    <row r="7" spans="1:2" ht="15.75" customHeight="1" x14ac:dyDescent="0.2"/>
    <row r="8" spans="1:2" x14ac:dyDescent="0.2">
      <c r="A8" s="44" t="s">
        <v>79</v>
      </c>
    </row>
    <row r="9" spans="1:2" x14ac:dyDescent="0.2">
      <c r="B9" s="44" t="s">
        <v>78</v>
      </c>
    </row>
    <row r="10" spans="1:2" x14ac:dyDescent="0.2">
      <c r="B10" s="44" t="s">
        <v>1</v>
      </c>
    </row>
    <row r="11" spans="1:2" x14ac:dyDescent="0.2">
      <c r="B11" s="44" t="s">
        <v>77</v>
      </c>
    </row>
    <row r="13" spans="1:2" x14ac:dyDescent="0.2">
      <c r="A13" s="44" t="s">
        <v>76</v>
      </c>
    </row>
    <row r="14" spans="1:2" x14ac:dyDescent="0.2">
      <c r="B14" s="44" t="s">
        <v>75</v>
      </c>
    </row>
    <row r="15" spans="1:2" x14ac:dyDescent="0.2">
      <c r="B15" s="44" t="s">
        <v>74</v>
      </c>
    </row>
    <row r="17" spans="1:2" x14ac:dyDescent="0.2">
      <c r="A17" s="44" t="s">
        <v>73</v>
      </c>
    </row>
    <row r="18" spans="1:2" x14ac:dyDescent="0.2">
      <c r="B18" s="44" t="s">
        <v>72</v>
      </c>
    </row>
    <row r="19" spans="1:2" x14ac:dyDescent="0.2">
      <c r="B19" s="44" t="s">
        <v>71</v>
      </c>
    </row>
    <row r="20" spans="1:2" x14ac:dyDescent="0.2">
      <c r="B20" s="44" t="s">
        <v>70</v>
      </c>
    </row>
    <row r="21" spans="1:2" x14ac:dyDescent="0.2">
      <c r="B21" s="44" t="s">
        <v>69</v>
      </c>
    </row>
    <row r="22" spans="1:2" x14ac:dyDescent="0.2">
      <c r="B22" s="44" t="s">
        <v>68</v>
      </c>
    </row>
    <row r="23" spans="1:2" x14ac:dyDescent="0.2">
      <c r="B23" s="44" t="s">
        <v>67</v>
      </c>
    </row>
    <row r="24" spans="1:2" x14ac:dyDescent="0.2">
      <c r="B24" s="44" t="s">
        <v>66</v>
      </c>
    </row>
    <row r="25" spans="1:2" x14ac:dyDescent="0.2">
      <c r="B25" s="44" t="s">
        <v>65</v>
      </c>
    </row>
    <row r="26" spans="1:2" x14ac:dyDescent="0.2">
      <c r="B26" s="44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I65"/>
  <sheetViews>
    <sheetView topLeftCell="A31" workbookViewId="0">
      <selection activeCell="A73" sqref="A73"/>
    </sheetView>
  </sheetViews>
  <sheetFormatPr baseColWidth="10" defaultColWidth="9.1640625" defaultRowHeight="14" x14ac:dyDescent="0.15"/>
  <cols>
    <col min="1" max="1" width="67.6640625" style="1" bestFit="1" customWidth="1"/>
    <col min="2" max="2" width="17.6640625" style="1" customWidth="1"/>
    <col min="3" max="3" width="18.83203125" style="6" customWidth="1"/>
    <col min="4" max="4" width="17.6640625" style="1" bestFit="1" customWidth="1"/>
    <col min="5" max="7" width="9.1640625" style="1"/>
    <col min="8" max="8" width="18.83203125" style="6" customWidth="1"/>
    <col min="9" max="9" width="17.6640625" style="1" bestFit="1" customWidth="1"/>
    <col min="10" max="16384" width="9.1640625" style="1"/>
  </cols>
  <sheetData>
    <row r="2" spans="1:9" x14ac:dyDescent="0.15">
      <c r="C2" s="14" t="s">
        <v>23</v>
      </c>
      <c r="D2" s="14" t="s">
        <v>22</v>
      </c>
      <c r="H2" s="14" t="s">
        <v>23</v>
      </c>
      <c r="I2" s="14" t="s">
        <v>22</v>
      </c>
    </row>
    <row r="3" spans="1:9" x14ac:dyDescent="0.15">
      <c r="B3" s="1" t="s">
        <v>49</v>
      </c>
      <c r="C3" s="14" t="s">
        <v>47</v>
      </c>
      <c r="D3" s="14"/>
      <c r="H3" s="14"/>
      <c r="I3" s="14"/>
    </row>
    <row r="4" spans="1:9" x14ac:dyDescent="0.15">
      <c r="B4" s="1" t="s">
        <v>50</v>
      </c>
      <c r="C4" s="14" t="s">
        <v>3</v>
      </c>
      <c r="D4" s="14"/>
      <c r="H4" s="14"/>
      <c r="I4" s="14"/>
    </row>
    <row r="5" spans="1:9" x14ac:dyDescent="0.15">
      <c r="C5" s="14"/>
      <c r="D5" s="14"/>
      <c r="H5" s="14"/>
      <c r="I5" s="14"/>
    </row>
    <row r="6" spans="1:9" x14ac:dyDescent="0.15">
      <c r="A6" s="1" t="s">
        <v>13</v>
      </c>
      <c r="C6" s="15">
        <f>VLOOKUP(C4,Index!$A$3:$C$9,2,FALSE)</f>
        <v>6.5</v>
      </c>
      <c r="D6" s="15">
        <f>C53</f>
        <v>6.5</v>
      </c>
      <c r="H6" s="15">
        <v>6.5</v>
      </c>
      <c r="I6" s="15">
        <v>6.5</v>
      </c>
    </row>
    <row r="7" spans="1:9" x14ac:dyDescent="0.15">
      <c r="D7" s="6"/>
      <c r="I7" s="6"/>
    </row>
    <row r="8" spans="1:9" x14ac:dyDescent="0.15">
      <c r="A8" s="1" t="s">
        <v>12</v>
      </c>
      <c r="C8" s="6">
        <f>C6/100</f>
        <v>6.5000000000000002E-2</v>
      </c>
      <c r="D8" s="6">
        <f>D6/100</f>
        <v>6.5000000000000002E-2</v>
      </c>
      <c r="H8" s="6">
        <v>6.5000000000000002E-2</v>
      </c>
      <c r="I8" s="6">
        <v>6.5000000000000002E-2</v>
      </c>
    </row>
    <row r="9" spans="1:9" x14ac:dyDescent="0.15">
      <c r="A9" s="1" t="s">
        <v>25</v>
      </c>
      <c r="C9" s="15">
        <v>84.9</v>
      </c>
      <c r="D9" s="15">
        <v>84.9</v>
      </c>
      <c r="H9" s="15">
        <v>84.9</v>
      </c>
      <c r="I9" s="15">
        <v>84.9</v>
      </c>
    </row>
    <row r="10" spans="1:9" x14ac:dyDescent="0.15">
      <c r="A10" s="1" t="s">
        <v>24</v>
      </c>
      <c r="C10" s="15">
        <v>175</v>
      </c>
      <c r="D10" s="15">
        <v>175</v>
      </c>
      <c r="H10" s="15">
        <v>175</v>
      </c>
      <c r="I10" s="15">
        <v>175</v>
      </c>
    </row>
    <row r="11" spans="1:9" x14ac:dyDescent="0.15">
      <c r="A11" s="1" t="s">
        <v>11</v>
      </c>
      <c r="C11" s="7">
        <f>C9/(1-C8)</f>
        <v>90.80213903743315</v>
      </c>
      <c r="D11" s="7">
        <f>D9/(1-D8)</f>
        <v>90.80213903743315</v>
      </c>
      <c r="H11" s="7">
        <v>90.80213903743315</v>
      </c>
      <c r="I11" s="7">
        <v>90.80213903743315</v>
      </c>
    </row>
    <row r="12" spans="1:9" x14ac:dyDescent="0.15">
      <c r="A12" s="1" t="s">
        <v>43</v>
      </c>
      <c r="C12" s="7">
        <f>IF(C3="Male",(-14.012934+0.296785*C9+0.194786*C10),(-35.270121+0.183809*C9+0.34454*C10))</f>
        <v>45.271662500000005</v>
      </c>
      <c r="D12" s="7">
        <f>-35.270121+0.183809*D9+0.34454*D10</f>
        <v>40.629763099999998</v>
      </c>
      <c r="H12" s="7">
        <v>45.271662500000005</v>
      </c>
      <c r="I12" s="7">
        <v>40.629763099999998</v>
      </c>
    </row>
    <row r="13" spans="1:9" x14ac:dyDescent="0.15">
      <c r="A13" s="1" t="s">
        <v>14</v>
      </c>
      <c r="C13" s="7">
        <f>IF(C3="Male",(-14.012934+0.296785*C11+0.194786*C10),(-35.270121+0.183809*D11+0.34454*D10))</f>
        <v>47.0233288342246</v>
      </c>
      <c r="D13" s="7">
        <f>-35.270121+0.183809*D11+0.34454*D10</f>
        <v>41.714629374331551</v>
      </c>
      <c r="H13" s="7">
        <v>47.0233288342246</v>
      </c>
      <c r="I13" s="7">
        <v>41.714629374331551</v>
      </c>
    </row>
    <row r="14" spans="1:9" x14ac:dyDescent="0.15">
      <c r="A14" s="1" t="s">
        <v>42</v>
      </c>
      <c r="C14" s="8">
        <f>C13/C11</f>
        <v>0.5178658711425207</v>
      </c>
      <c r="D14" s="8">
        <f>D13/D11</f>
        <v>0.45940139534746766</v>
      </c>
      <c r="H14" s="8">
        <v>0.5178658711425207</v>
      </c>
      <c r="I14" s="8">
        <v>0.45940139534746766</v>
      </c>
    </row>
    <row r="15" spans="1:9" x14ac:dyDescent="0.15">
      <c r="A15" s="9" t="s">
        <v>40</v>
      </c>
      <c r="B15" s="9"/>
      <c r="C15" s="10">
        <f>C9*C14</f>
        <v>43.966812460000007</v>
      </c>
      <c r="D15" s="10">
        <f>D9*D14</f>
        <v>39.003178465000005</v>
      </c>
      <c r="H15" s="10">
        <v>43.966812460000007</v>
      </c>
      <c r="I15" s="10">
        <v>39.003178465000005</v>
      </c>
    </row>
    <row r="16" spans="1:9" x14ac:dyDescent="0.15">
      <c r="D16" s="6"/>
      <c r="I16" s="6"/>
    </row>
    <row r="17" spans="1:9" x14ac:dyDescent="0.15">
      <c r="A17" s="1" t="s">
        <v>16</v>
      </c>
      <c r="C17" s="8">
        <f>0.007184*(C9^0.425)*(C10^0.725)</f>
        <v>2.0061096975635131</v>
      </c>
      <c r="D17" s="8">
        <f>0.007184*(D9^0.425)*(D10^0.725)</f>
        <v>2.0061096975635131</v>
      </c>
      <c r="H17" s="8">
        <v>2.0061096975635131</v>
      </c>
      <c r="I17" s="8">
        <v>2.0061096975635131</v>
      </c>
    </row>
    <row r="18" spans="1:9" x14ac:dyDescent="0.15">
      <c r="A18" s="1" t="s">
        <v>15</v>
      </c>
      <c r="C18" s="8">
        <f>0.007184*(C11^0.425)*(C10^0.725)</f>
        <v>2.0642378768532184</v>
      </c>
      <c r="D18" s="8">
        <f>0.007184*(D11^0.425)*(D10^0.725)</f>
        <v>2.0642378768532184</v>
      </c>
      <c r="H18" s="8">
        <v>2.0642378768532184</v>
      </c>
      <c r="I18" s="8">
        <v>2.0642378768532184</v>
      </c>
    </row>
    <row r="19" spans="1:9" x14ac:dyDescent="0.15">
      <c r="A19" s="1" t="s">
        <v>10</v>
      </c>
      <c r="C19" s="15">
        <f>VLOOKUP(C4,Index!$A$3:$C$9,3,FALSE)</f>
        <v>10</v>
      </c>
      <c r="D19" s="15">
        <v>10</v>
      </c>
      <c r="H19" s="15">
        <v>10</v>
      </c>
      <c r="I19" s="15">
        <v>10</v>
      </c>
    </row>
    <row r="20" spans="1:9" x14ac:dyDescent="0.15">
      <c r="A20" s="1" t="s">
        <v>17</v>
      </c>
      <c r="C20" s="8">
        <f>C19/100</f>
        <v>0.1</v>
      </c>
      <c r="D20" s="8">
        <f>D19/100</f>
        <v>0.1</v>
      </c>
      <c r="H20" s="8">
        <v>0.1</v>
      </c>
      <c r="I20" s="8">
        <v>0.1</v>
      </c>
    </row>
    <row r="21" spans="1:9" ht="15" x14ac:dyDescent="0.2">
      <c r="A21" s="9" t="s">
        <v>41</v>
      </c>
      <c r="B21" s="9"/>
      <c r="C21" s="11">
        <f>C18*(1-C20)</f>
        <v>1.8578140891678965</v>
      </c>
      <c r="D21" s="11">
        <f>D18*(1-D20)</f>
        <v>1.8578140891678965</v>
      </c>
      <c r="H21" s="11">
        <v>1.8578140891678965</v>
      </c>
      <c r="I21" s="11">
        <v>1.8578140891678965</v>
      </c>
    </row>
    <row r="22" spans="1:9" x14ac:dyDescent="0.15">
      <c r="A22" s="9"/>
      <c r="B22" s="9"/>
      <c r="C22" s="11"/>
      <c r="D22" s="6"/>
      <c r="H22" s="11"/>
      <c r="I22" s="6"/>
    </row>
    <row r="23" spans="1:9" x14ac:dyDescent="0.15">
      <c r="A23" s="1" t="s">
        <v>29</v>
      </c>
      <c r="B23" s="9"/>
      <c r="C23" s="16">
        <v>36</v>
      </c>
      <c r="D23" s="15">
        <v>36</v>
      </c>
      <c r="H23" s="16">
        <v>36</v>
      </c>
      <c r="I23" s="15">
        <v>36</v>
      </c>
    </row>
    <row r="24" spans="1:9" x14ac:dyDescent="0.15">
      <c r="A24" s="1" t="s">
        <v>30</v>
      </c>
      <c r="B24" s="9"/>
      <c r="C24" s="17">
        <v>7.87</v>
      </c>
      <c r="D24" s="15">
        <v>7.87</v>
      </c>
      <c r="H24" s="17">
        <v>7.87</v>
      </c>
      <c r="I24" s="15">
        <v>7.87</v>
      </c>
    </row>
    <row r="25" spans="1:9" x14ac:dyDescent="0.15">
      <c r="A25" s="1" t="s">
        <v>31</v>
      </c>
      <c r="B25" s="9"/>
      <c r="C25" s="16">
        <v>32</v>
      </c>
      <c r="D25" s="15">
        <v>32</v>
      </c>
      <c r="H25" s="16">
        <v>32</v>
      </c>
      <c r="I25" s="15">
        <v>32</v>
      </c>
    </row>
    <row r="26" spans="1:9" x14ac:dyDescent="0.15">
      <c r="A26" s="1" t="s">
        <v>32</v>
      </c>
      <c r="B26" s="9"/>
      <c r="C26" s="19">
        <v>5.3</v>
      </c>
      <c r="D26" s="15">
        <v>5.3</v>
      </c>
      <c r="H26" s="19">
        <v>5.3</v>
      </c>
      <c r="I26" s="15">
        <v>5.3</v>
      </c>
    </row>
    <row r="27" spans="1:9" x14ac:dyDescent="0.15">
      <c r="A27" s="1" t="s">
        <v>33</v>
      </c>
      <c r="B27" s="9"/>
      <c r="C27" s="16">
        <v>12264</v>
      </c>
      <c r="D27" s="15">
        <v>12264</v>
      </c>
      <c r="H27" s="16">
        <v>12264</v>
      </c>
      <c r="I27" s="15">
        <v>12264</v>
      </c>
    </row>
    <row r="28" spans="1:9" x14ac:dyDescent="0.15">
      <c r="A28" s="1" t="s">
        <v>34</v>
      </c>
      <c r="B28" s="9"/>
      <c r="C28" s="19">
        <v>300</v>
      </c>
      <c r="D28" s="19">
        <v>300</v>
      </c>
      <c r="H28" s="19">
        <v>300</v>
      </c>
      <c r="I28" s="19">
        <v>300</v>
      </c>
    </row>
    <row r="29" spans="1:9" x14ac:dyDescent="0.15">
      <c r="A29" s="1" t="s">
        <v>35</v>
      </c>
      <c r="B29" s="9"/>
      <c r="C29" s="16">
        <v>250</v>
      </c>
      <c r="D29" s="15">
        <v>250</v>
      </c>
      <c r="H29" s="16">
        <v>250</v>
      </c>
      <c r="I29" s="15">
        <v>250</v>
      </c>
    </row>
    <row r="30" spans="1:9" x14ac:dyDescent="0.15">
      <c r="A30" s="1" t="s">
        <v>36</v>
      </c>
      <c r="B30" s="9"/>
      <c r="C30" s="16">
        <v>1440</v>
      </c>
      <c r="D30" s="15">
        <v>1440</v>
      </c>
      <c r="H30" s="16">
        <v>1440</v>
      </c>
      <c r="I30" s="15">
        <v>1440</v>
      </c>
    </row>
    <row r="31" spans="1:9" x14ac:dyDescent="0.15">
      <c r="D31" s="6"/>
      <c r="I31" s="6"/>
    </row>
    <row r="32" spans="1:9" x14ac:dyDescent="0.15">
      <c r="A32" s="1" t="s">
        <v>20</v>
      </c>
      <c r="D32" s="6"/>
      <c r="I32" s="6"/>
    </row>
    <row r="33" spans="1:9" x14ac:dyDescent="0.15">
      <c r="A33" s="12" t="s">
        <v>18</v>
      </c>
      <c r="C33" s="8">
        <f>C25/C23*C27/1000*7/C12</f>
        <v>1.6855871668802382</v>
      </c>
      <c r="D33" s="8">
        <f>D25/D23*D27/1000*7/D12</f>
        <v>1.8781633834663765</v>
      </c>
      <c r="H33" s="8">
        <v>1.6855871668802382</v>
      </c>
      <c r="I33" s="8">
        <v>1.8781633834663765</v>
      </c>
    </row>
    <row r="34" spans="1:9" x14ac:dyDescent="0.15">
      <c r="A34" s="12" t="s">
        <v>19</v>
      </c>
      <c r="C34" s="7">
        <f>C26/C24*C27/1000*7*1.73/C17</f>
        <v>49.856609954141817</v>
      </c>
      <c r="D34" s="7">
        <f>D26/D24*D27/1000*7*1.73/D17</f>
        <v>49.856609954141817</v>
      </c>
      <c r="H34" s="7">
        <v>49.856609954141817</v>
      </c>
      <c r="I34" s="7">
        <v>49.856609954141817</v>
      </c>
    </row>
    <row r="35" spans="1:9" x14ac:dyDescent="0.15">
      <c r="D35" s="8"/>
      <c r="I35" s="8"/>
    </row>
    <row r="36" spans="1:9" x14ac:dyDescent="0.15">
      <c r="A36" s="9" t="s">
        <v>21</v>
      </c>
      <c r="D36" s="8"/>
      <c r="I36" s="8"/>
    </row>
    <row r="37" spans="1:9" x14ac:dyDescent="0.15">
      <c r="A37" s="13" t="s">
        <v>18</v>
      </c>
      <c r="C37" s="11">
        <f>C25/C23*C27/1000*7/C15</f>
        <v>1.7356121370581004</v>
      </c>
      <c r="D37" s="11">
        <f>D25/D23*D27/1000*7/D15</f>
        <v>1.9564901204605791</v>
      </c>
      <c r="H37" s="11">
        <v>1.7356121370581004</v>
      </c>
      <c r="I37" s="11">
        <v>1.9564901204605791</v>
      </c>
    </row>
    <row r="38" spans="1:9" x14ac:dyDescent="0.15">
      <c r="A38" s="13" t="s">
        <v>19</v>
      </c>
      <c r="C38" s="10">
        <f>C26/C24*C27/1000*7*1.73/C21</f>
        <v>53.83629573045323</v>
      </c>
      <c r="D38" s="10">
        <f>D26/D24*D27/1000*7*1.73/D21</f>
        <v>53.83629573045323</v>
      </c>
      <c r="H38" s="10">
        <v>53.83629573045323</v>
      </c>
      <c r="I38" s="10">
        <v>53.83629573045323</v>
      </c>
    </row>
    <row r="39" spans="1:9" x14ac:dyDescent="0.15">
      <c r="D39" s="18"/>
      <c r="I39" s="18"/>
    </row>
    <row r="40" spans="1:9" x14ac:dyDescent="0.15">
      <c r="A40" s="13" t="s">
        <v>27</v>
      </c>
      <c r="C40" s="20">
        <f>((C28/C23)*(C29/C30)*10.08)/C15</f>
        <v>0.33168957487197676</v>
      </c>
      <c r="D40" s="20">
        <f>((D28/D23)*(D29/D30)*10.08)/D15</f>
        <v>0.37390115132334334</v>
      </c>
      <c r="H40" s="20">
        <v>0.33168957487197676</v>
      </c>
      <c r="I40" s="20">
        <v>0.37390115132334334</v>
      </c>
    </row>
    <row r="41" spans="1:9" x14ac:dyDescent="0.15">
      <c r="A41" s="13" t="s">
        <v>18</v>
      </c>
      <c r="C41" s="11">
        <f>C37</f>
        <v>1.7356121370581004</v>
      </c>
      <c r="D41" s="11">
        <f>D37</f>
        <v>1.9564901204605791</v>
      </c>
      <c r="H41" s="11">
        <v>1.7356121370581004</v>
      </c>
      <c r="I41" s="11">
        <v>1.9564901204605791</v>
      </c>
    </row>
    <row r="42" spans="1:9" x14ac:dyDescent="0.15">
      <c r="A42" s="9" t="s">
        <v>28</v>
      </c>
      <c r="B42" s="9"/>
      <c r="C42" s="11">
        <f>C40+C41</f>
        <v>2.0673017119300772</v>
      </c>
      <c r="D42" s="11">
        <f>D40+D41</f>
        <v>2.3303912717839226</v>
      </c>
      <c r="H42" s="11">
        <v>2.0673017119300772</v>
      </c>
      <c r="I42" s="11">
        <v>2.3303912717839226</v>
      </c>
    </row>
    <row r="49" spans="1:9" x14ac:dyDescent="0.15">
      <c r="A49" s="51" t="s">
        <v>0</v>
      </c>
      <c r="B49" s="51"/>
      <c r="C49" s="51"/>
      <c r="D49" s="51"/>
      <c r="H49" s="1"/>
    </row>
    <row r="50" spans="1:9" x14ac:dyDescent="0.15">
      <c r="A50" s="2"/>
      <c r="B50" s="2"/>
      <c r="C50" s="2"/>
      <c r="D50" s="2"/>
      <c r="H50" s="23"/>
      <c r="I50" s="23"/>
    </row>
    <row r="51" spans="1:9" x14ac:dyDescent="0.15">
      <c r="A51" s="3" t="s">
        <v>1</v>
      </c>
      <c r="C51" s="4" t="s">
        <v>9</v>
      </c>
      <c r="H51" s="4" t="s">
        <v>9</v>
      </c>
    </row>
    <row r="52" spans="1:9" x14ac:dyDescent="0.15">
      <c r="A52" s="5" t="s">
        <v>2</v>
      </c>
      <c r="C52" s="4">
        <v>1.8</v>
      </c>
      <c r="H52" s="4">
        <v>1.8</v>
      </c>
    </row>
    <row r="53" spans="1:9" x14ac:dyDescent="0.15">
      <c r="A53" s="5" t="s">
        <v>3</v>
      </c>
      <c r="C53" s="4">
        <v>6.5</v>
      </c>
      <c r="H53" s="4">
        <v>6.5</v>
      </c>
    </row>
    <row r="54" spans="1:9" x14ac:dyDescent="0.15">
      <c r="A54" s="5" t="s">
        <v>4</v>
      </c>
      <c r="C54" s="4">
        <v>8</v>
      </c>
      <c r="H54" s="4">
        <v>8</v>
      </c>
    </row>
    <row r="55" spans="1:9" x14ac:dyDescent="0.15">
      <c r="A55" s="5" t="s">
        <v>5</v>
      </c>
      <c r="C55" s="4">
        <v>18.5</v>
      </c>
      <c r="H55" s="4">
        <v>18.5</v>
      </c>
    </row>
    <row r="56" spans="1:9" x14ac:dyDescent="0.15">
      <c r="A56" s="5" t="s">
        <v>6</v>
      </c>
      <c r="C56" s="4">
        <v>0.8</v>
      </c>
      <c r="H56" s="4">
        <v>0.8</v>
      </c>
    </row>
    <row r="57" spans="1:9" x14ac:dyDescent="0.15">
      <c r="A57" s="5" t="s">
        <v>7</v>
      </c>
      <c r="C57" s="4">
        <v>3.1</v>
      </c>
      <c r="H57" s="4">
        <v>3.1</v>
      </c>
    </row>
    <row r="58" spans="1:9" x14ac:dyDescent="0.15">
      <c r="A58" s="5" t="s">
        <v>8</v>
      </c>
      <c r="C58" s="4">
        <v>6.6</v>
      </c>
      <c r="H58" s="4">
        <v>6.6</v>
      </c>
    </row>
    <row r="60" spans="1:9" x14ac:dyDescent="0.15">
      <c r="A60" s="21" t="s">
        <v>44</v>
      </c>
      <c r="C60" s="1"/>
      <c r="H60" s="1"/>
    </row>
    <row r="61" spans="1:9" x14ac:dyDescent="0.15">
      <c r="A61" s="22" t="s">
        <v>37</v>
      </c>
      <c r="C61" s="1"/>
      <c r="H61" s="1"/>
    </row>
    <row r="62" spans="1:9" x14ac:dyDescent="0.15">
      <c r="A62" s="22" t="s">
        <v>38</v>
      </c>
      <c r="C62" s="1"/>
      <c r="H62" s="1"/>
    </row>
    <row r="64" spans="1:9" x14ac:dyDescent="0.15">
      <c r="A64" s="1" t="s">
        <v>26</v>
      </c>
      <c r="C64" s="1"/>
      <c r="H64" s="1"/>
    </row>
    <row r="65" spans="1:1" ht="15" x14ac:dyDescent="0.15">
      <c r="A65" s="1" t="s">
        <v>39</v>
      </c>
    </row>
  </sheetData>
  <mergeCells count="1">
    <mergeCell ref="A49:D49"/>
  </mergeCells>
  <phoneticPr fontId="1" type="noConversion"/>
  <pageMargins left="0.5" right="0.5" top="1" bottom="1" header="0.5" footer="0.5"/>
  <pageSetup scale="94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Index!$F$3:$F$4</xm:f>
          </x14:formula1>
          <xm:sqref>C3</xm:sqref>
        </x14:dataValidation>
        <x14:dataValidation type="list" allowBlank="1" showInputMessage="1" showErrorMessage="1" xr:uid="{00000000-0002-0000-0300-000001000000}">
          <x14:formula1>
            <xm:f>Index!$A$3:$A$9</xm:f>
          </x14:formula1>
          <xm:sqref>C4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workbookViewId="0">
      <selection activeCell="C19" sqref="C19"/>
    </sheetView>
  </sheetViews>
  <sheetFormatPr baseColWidth="10" defaultColWidth="8.83203125" defaultRowHeight="13" x14ac:dyDescent="0.15"/>
  <cols>
    <col min="1" max="1" width="17.1640625" customWidth="1"/>
    <col min="2" max="2" width="15.83203125" bestFit="1" customWidth="1"/>
    <col min="3" max="3" width="19.1640625" bestFit="1" customWidth="1"/>
  </cols>
  <sheetData>
    <row r="1" spans="1:6" x14ac:dyDescent="0.15">
      <c r="A1" s="40" t="s">
        <v>45</v>
      </c>
      <c r="B1" s="40" t="s">
        <v>9</v>
      </c>
      <c r="C1" s="40" t="s">
        <v>10</v>
      </c>
      <c r="D1" s="40"/>
      <c r="E1" s="40"/>
      <c r="F1" t="s">
        <v>46</v>
      </c>
    </row>
    <row r="2" spans="1:6" x14ac:dyDescent="0.15">
      <c r="A2" s="40" t="s">
        <v>56</v>
      </c>
      <c r="B2" s="40">
        <v>0</v>
      </c>
      <c r="C2" s="40">
        <v>0</v>
      </c>
      <c r="D2" s="40"/>
      <c r="E2" s="40"/>
      <c r="F2" t="s">
        <v>47</v>
      </c>
    </row>
    <row r="3" spans="1:6" ht="14" x14ac:dyDescent="0.15">
      <c r="A3" s="41" t="s">
        <v>2</v>
      </c>
      <c r="B3" s="40">
        <v>1.8</v>
      </c>
      <c r="C3" s="40">
        <v>3.5</v>
      </c>
      <c r="D3" s="40"/>
      <c r="E3" s="40"/>
      <c r="F3" t="s">
        <v>48</v>
      </c>
    </row>
    <row r="4" spans="1:6" ht="14" x14ac:dyDescent="0.15">
      <c r="A4" s="41" t="s">
        <v>3</v>
      </c>
      <c r="B4" s="40">
        <v>6.5</v>
      </c>
      <c r="C4" s="40">
        <v>10</v>
      </c>
      <c r="D4" s="40"/>
      <c r="E4" s="40"/>
    </row>
    <row r="5" spans="1:6" ht="14" x14ac:dyDescent="0.15">
      <c r="A5" s="41" t="s">
        <v>4</v>
      </c>
      <c r="B5" s="40">
        <v>8</v>
      </c>
      <c r="C5" s="40">
        <v>12.5</v>
      </c>
      <c r="D5" s="40"/>
      <c r="E5" s="40"/>
    </row>
    <row r="6" spans="1:6" ht="14" x14ac:dyDescent="0.15">
      <c r="A6" s="41" t="s">
        <v>5</v>
      </c>
      <c r="B6" s="40">
        <v>18.5</v>
      </c>
      <c r="C6" s="40">
        <v>18</v>
      </c>
      <c r="D6" s="40"/>
      <c r="E6" s="40"/>
    </row>
    <row r="7" spans="1:6" ht="14" x14ac:dyDescent="0.15">
      <c r="A7" s="41" t="s">
        <v>6</v>
      </c>
      <c r="B7" s="40">
        <v>0.8</v>
      </c>
      <c r="C7" s="40">
        <v>2.5</v>
      </c>
      <c r="D7" s="40"/>
      <c r="E7" s="40"/>
    </row>
    <row r="8" spans="1:6" ht="14" x14ac:dyDescent="0.15">
      <c r="A8" s="41" t="s">
        <v>7</v>
      </c>
      <c r="B8" s="40">
        <v>3.1</v>
      </c>
      <c r="C8" s="40">
        <v>6</v>
      </c>
      <c r="D8" s="40"/>
      <c r="E8" s="40"/>
    </row>
    <row r="9" spans="1:6" ht="14" x14ac:dyDescent="0.15">
      <c r="A9" s="41" t="s">
        <v>8</v>
      </c>
      <c r="B9" s="40">
        <v>6.6</v>
      </c>
      <c r="C9" s="40">
        <v>10</v>
      </c>
      <c r="D9" s="40"/>
      <c r="E9" s="40"/>
    </row>
  </sheetData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A73" sqref="A73"/>
    </sheetView>
  </sheetViews>
  <sheetFormatPr baseColWidth="10" defaultColWidth="8.83203125" defaultRowHeight="13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References</vt:lpstr>
      <vt:lpstr>Instruction</vt:lpstr>
      <vt:lpstr>Sheet1</vt:lpstr>
      <vt:lpstr>Index</vt:lpstr>
      <vt:lpstr>Sheet3</vt:lpstr>
    </vt:vector>
  </TitlesOfParts>
  <Company>Satellite Laboratory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blairm</dc:creator>
  <cp:lastModifiedBy>Microsoft Office User</cp:lastModifiedBy>
  <cp:lastPrinted>2019-03-15T14:11:14Z</cp:lastPrinted>
  <dcterms:created xsi:type="dcterms:W3CDTF">2006-04-19T15:52:51Z</dcterms:created>
  <dcterms:modified xsi:type="dcterms:W3CDTF">2019-03-26T21:29:20Z</dcterms:modified>
</cp:coreProperties>
</file>